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1"/>
  </bookViews>
  <sheets>
    <sheet name="Ellipsoids" sheetId="1" r:id="rId1"/>
    <sheet name="Distance Reduction" sheetId="2" r:id="rId2"/>
    <sheet name="Tes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4" authorId="0">
      <text>
        <r>
          <rPr>
            <sz val="8"/>
            <rFont val="Tahoma"/>
            <family val="0"/>
          </rPr>
          <t>GRS80 is the ellipsoid used with GDA94 and with the ITRF.</t>
        </r>
      </text>
    </comment>
    <comment ref="C14" authorId="0">
      <text>
        <r>
          <rPr>
            <sz val="8"/>
            <rFont val="Tahoma"/>
            <family val="0"/>
          </rPr>
          <t>WGS84 is the ellipsoid used with the GPS sysyem. It is for all practical purposes, the same as GRS80.</t>
        </r>
      </text>
    </comment>
    <comment ref="D14" authorId="0">
      <text>
        <r>
          <rPr>
            <sz val="8"/>
            <rFont val="Tahoma"/>
            <family val="0"/>
          </rPr>
          <t>ANS is the ellipsoid used with both AGD66 and AGD84</t>
        </r>
      </text>
    </comment>
    <comment ref="E14" authorId="0">
      <text>
        <r>
          <rPr>
            <sz val="8"/>
            <rFont val="Tahoma"/>
            <family val="0"/>
          </rPr>
          <t>WGS72 is the ellipsoid used with GPS prior to 27 January 1987, and with the Transit Doppler Broadcast ephemeris, prior to 27 January 1989.</t>
        </r>
      </text>
    </comment>
    <comment ref="F14" authorId="0">
      <text>
        <r>
          <rPr>
            <sz val="8"/>
            <rFont val="Tahoma"/>
            <family val="0"/>
          </rPr>
          <t>The Clarke 1858 ellipsoid was widely used in Australia prior to the introduction of the AGD in 1966.</t>
        </r>
      </text>
    </comment>
    <comment ref="G14" authorId="0">
      <text>
        <r>
          <rPr>
            <sz val="8"/>
            <rFont val="Tahoma"/>
            <family val="0"/>
          </rPr>
          <t>To use a sphere, enter the required radius in the semi-major axis field, and leave the inverse flattening as a very large number.</t>
        </r>
      </text>
    </comment>
    <comment ref="H14" authorId="0">
      <text>
        <r>
          <rPr>
            <sz val="8"/>
            <rFont val="Tahoma"/>
            <family val="0"/>
          </rPr>
          <t>Enter the value of the semi-major axis (a) and the inverse flattening (1/f) to define your own ellipsoid. The values of f and b will be calculated automatically.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8"/>
            <rFont val="Tahoma"/>
            <family val="0"/>
          </rPr>
          <t xml:space="preserve">Formulae are from "Plane &amp; geodetic Surveying", Vol 2, pp299, Clarke C.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1" authorId="0">
      <text>
        <r>
          <rPr>
            <sz val="8"/>
            <rFont val="Tahoma"/>
            <family val="0"/>
          </rPr>
          <t xml:space="preserve">Formulae are from "Plane &amp; geodetic Surveying", Vol 2, pp299, Clarke C.
</t>
        </r>
      </text>
    </comment>
  </commentList>
</comments>
</file>

<file path=xl/sharedStrings.xml><?xml version="1.0" encoding="utf-8"?>
<sst xmlns="http://schemas.openxmlformats.org/spreadsheetml/2006/main" count="56" uniqueCount="40">
  <si>
    <t>GRS80</t>
  </si>
  <si>
    <t>WGS84</t>
  </si>
  <si>
    <t>ANS</t>
  </si>
  <si>
    <t>WGS72</t>
  </si>
  <si>
    <t>Clarke 1858</t>
  </si>
  <si>
    <t>Sphere</t>
  </si>
  <si>
    <t>User</t>
  </si>
  <si>
    <t>1/f</t>
  </si>
  <si>
    <t>f</t>
  </si>
  <si>
    <t>a</t>
  </si>
  <si>
    <t>KEY</t>
  </si>
  <si>
    <t>User input</t>
  </si>
  <si>
    <t>Result</t>
  </si>
  <si>
    <t>Rigorous Reduction of Observed Distance</t>
  </si>
  <si>
    <t>Ellipsoid</t>
  </si>
  <si>
    <t>From</t>
  </si>
  <si>
    <t>To</t>
  </si>
  <si>
    <t>Stations</t>
  </si>
  <si>
    <t>Flinders Peak</t>
  </si>
  <si>
    <t>Buninyong</t>
  </si>
  <si>
    <t>AHD (H)</t>
  </si>
  <si>
    <t>Geoid-ellipsoid separation (N)</t>
  </si>
  <si>
    <t>Ellipsoid height (h)</t>
  </si>
  <si>
    <t>Latitude</t>
  </si>
  <si>
    <t>Latitude (dec. deg.)</t>
  </si>
  <si>
    <t>Azimuth</t>
  </si>
  <si>
    <t>Azimuth (dec. deg.)</t>
  </si>
  <si>
    <r>
      <t>Observed chord distance (d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)</t>
    </r>
  </si>
  <si>
    <r>
      <t>Ellipsoid chord distance (d</t>
    </r>
    <r>
      <rPr>
        <vertAlign val="subscript"/>
        <sz val="10"/>
        <rFont val="Helv"/>
        <family val="0"/>
      </rPr>
      <t>3</t>
    </r>
    <r>
      <rPr>
        <sz val="10"/>
        <rFont val="Helv"/>
        <family val="0"/>
      </rPr>
      <t>)</t>
    </r>
  </si>
  <si>
    <t>Ellipsoid distance (s)</t>
  </si>
  <si>
    <t>Semi major axis (a)</t>
  </si>
  <si>
    <t>Radii of curvature</t>
  </si>
  <si>
    <t>Inverse flattening (1/f)</t>
  </si>
  <si>
    <r>
      <t>Meridian (</t>
    </r>
    <r>
      <rPr>
        <sz val="10"/>
        <rFont val="Symbol"/>
        <family val="1"/>
      </rPr>
      <t>r</t>
    </r>
    <r>
      <rPr>
        <sz val="10"/>
        <rFont val="Helv"/>
        <family val="0"/>
      </rPr>
      <t>)</t>
    </r>
  </si>
  <si>
    <r>
      <t>Eccentricity (e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>)</t>
    </r>
  </si>
  <si>
    <r>
      <t>Prime vertical (</t>
    </r>
    <r>
      <rPr>
        <sz val="10"/>
        <rFont val="Symbol"/>
        <family val="1"/>
      </rPr>
      <t>n</t>
    </r>
    <r>
      <rPr>
        <sz val="10"/>
        <rFont val="Helv"/>
        <family val="0"/>
      </rPr>
      <t>)</t>
    </r>
  </si>
  <si>
    <r>
      <t>1-e</t>
    </r>
    <r>
      <rPr>
        <vertAlign val="superscript"/>
        <sz val="10"/>
        <rFont val="Helv"/>
        <family val="0"/>
      </rPr>
      <t>2</t>
    </r>
    <r>
      <rPr>
        <sz val="10"/>
        <rFont val="Helv"/>
        <family val="0"/>
      </rPr>
      <t xml:space="preserve">  Sin</t>
    </r>
    <r>
      <rPr>
        <vertAlign val="superscript"/>
        <sz val="10"/>
        <rFont val="Helv"/>
        <family val="0"/>
      </rPr>
      <t>2</t>
    </r>
    <r>
      <rPr>
        <sz val="10"/>
        <rFont val="Symbol"/>
        <family val="1"/>
      </rPr>
      <t>j</t>
    </r>
  </si>
  <si>
    <t>Mean radius in azimuth</t>
  </si>
  <si>
    <t>Bunninyong</t>
  </si>
  <si>
    <r>
      <t>Observed chord distance (d</t>
    </r>
    <r>
      <rPr>
        <vertAlign val="subscript"/>
        <sz val="10"/>
        <rFont val="Helv"/>
        <family val="0"/>
      </rPr>
      <t>2</t>
    </r>
    <r>
      <rPr>
        <sz val="10"/>
        <rFont val="Helv"/>
        <family val="0"/>
      </rPr>
      <t>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</si>
</sst>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00"/>
    <numFmt numFmtId="175" formatCode="0.0000000"/>
    <numFmt numFmtId="176" formatCode="0.00000"/>
    <numFmt numFmtId="177" formatCode="00.0000"/>
    <numFmt numFmtId="178" formatCode="0.00000000000"/>
    <numFmt numFmtId="179" formatCode="00\°"/>
    <numFmt numFmtId="180" formatCode="0.000\ 000\ 000\ 0"/>
    <numFmt numFmtId="181" formatCode="0\°"/>
    <numFmt numFmtId="182" formatCode="0.000000000"/>
    <numFmt numFmtId="183" formatCode="000,000.00"/>
    <numFmt numFmtId="184" formatCode="0,000,000.0000"/>
    <numFmt numFmtId="185" formatCode="00\'"/>
    <numFmt numFmtId="186" formatCode="00.000\&quot;"/>
    <numFmt numFmtId="187" formatCode="0,000,000.000"/>
    <numFmt numFmtId="188" formatCode="00.00\&quot;"/>
    <numFmt numFmtId="189" formatCode="000,000.000"/>
    <numFmt numFmtId="190" formatCode="\,000.000"/>
    <numFmt numFmtId="191" formatCode="000.000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0"/>
    </font>
    <font>
      <sz val="8"/>
      <name val="Tahoma"/>
      <family val="0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name val="Arial"/>
      <family val="0"/>
    </font>
    <font>
      <sz val="12"/>
      <name val="Arial"/>
      <family val="2"/>
    </font>
    <font>
      <sz val="10"/>
      <name val="Symbol"/>
      <family val="1"/>
    </font>
    <font>
      <vertAlign val="superscript"/>
      <sz val="10"/>
      <name val="Helv"/>
      <family val="0"/>
    </font>
    <font>
      <vertAlign val="subscript"/>
      <sz val="10"/>
      <name val="Helv"/>
      <family val="0"/>
    </font>
    <font>
      <b/>
      <sz val="8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17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4" fontId="7" fillId="3" borderId="0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1" fontId="6" fillId="2" borderId="0" xfId="0" applyNumberFormat="1" applyFont="1" applyFill="1" applyBorder="1" applyAlignment="1">
      <alignment horizontal="center"/>
    </xf>
    <xf numFmtId="182" fontId="7" fillId="3" borderId="1" xfId="0" applyNumberFormat="1" applyFont="1" applyFill="1" applyBorder="1" applyAlignment="1">
      <alignment horizontal="center"/>
    </xf>
    <xf numFmtId="182" fontId="7" fillId="3" borderId="2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183" fontId="7" fillId="3" borderId="3" xfId="0" applyNumberFormat="1" applyFont="1" applyFill="1" applyBorder="1" applyAlignment="1">
      <alignment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applyProtection="1">
      <alignment/>
      <protection locked="0"/>
    </xf>
    <xf numFmtId="0" fontId="4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right"/>
      <protection/>
    </xf>
    <xf numFmtId="184" fontId="8" fillId="0" borderId="4" xfId="0" applyNumberFormat="1" applyFont="1" applyBorder="1" applyAlignment="1" applyProtection="1">
      <alignment horizontal="right"/>
      <protection/>
    </xf>
    <xf numFmtId="180" fontId="8" fillId="0" borderId="4" xfId="0" applyNumberFormat="1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9" fillId="0" borderId="5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centerContinuous"/>
    </xf>
    <xf numFmtId="17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9" fontId="6" fillId="2" borderId="0" xfId="0" applyNumberFormat="1" applyFont="1" applyFill="1" applyBorder="1" applyAlignment="1">
      <alignment horizontal="center"/>
    </xf>
    <xf numFmtId="174" fontId="6" fillId="2" borderId="0" xfId="0" applyNumberFormat="1" applyFont="1" applyFill="1" applyBorder="1" applyAlignment="1">
      <alignment horizontal="center"/>
    </xf>
    <xf numFmtId="185" fontId="6" fillId="2" borderId="0" xfId="0" applyNumberFormat="1" applyFont="1" applyFill="1" applyBorder="1" applyAlignment="1">
      <alignment horizontal="center"/>
    </xf>
    <xf numFmtId="186" fontId="6" fillId="2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87" fontId="6" fillId="2" borderId="2" xfId="0" applyNumberFormat="1" applyFont="1" applyFill="1" applyBorder="1" applyAlignment="1">
      <alignment/>
    </xf>
    <xf numFmtId="0" fontId="7" fillId="3" borderId="3" xfId="0" applyFont="1" applyFill="1" applyBorder="1" applyAlignment="1">
      <alignment/>
    </xf>
    <xf numFmtId="187" fontId="6" fillId="2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88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74" fontId="6" fillId="2" borderId="0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6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0" fillId="0" borderId="9" xfId="0" applyBorder="1" applyAlignment="1">
      <alignment/>
    </xf>
    <xf numFmtId="0" fontId="6" fillId="2" borderId="5" xfId="0" applyFont="1" applyFill="1" applyBorder="1" applyAlignment="1">
      <alignment horizontal="center"/>
    </xf>
    <xf numFmtId="186" fontId="6" fillId="2" borderId="5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7" fillId="3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38100</xdr:rowOff>
    </xdr:from>
    <xdr:to>
      <xdr:col>6</xdr:col>
      <xdr:colOff>1104900</xdr:colOff>
      <xdr:row>11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485900" y="200025"/>
          <a:ext cx="4848225" cy="16668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(1) Enter in Cell A5, the number of the ellipsoid required, selected from A13:G13. The name and parameters for the required ellipsoid will automatically be shown  in A5:A9 and used in the distance reduction.
You may enter your own ellipsoid parameters in User cellsHI4:H15.   
NOTE:  Only a and 1/f need be entered, f is automatically calculated.
(2) Proceed to the distance reduction sheet.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133350</xdr:rowOff>
    </xdr:from>
    <xdr:to>
      <xdr:col>9</xdr:col>
      <xdr:colOff>114300</xdr:colOff>
      <xdr:row>23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28600" y="1933575"/>
          <a:ext cx="48387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After selecting the appropriate ellipsoid from the ellipsoid sheet, enter the detail for each station and the observed distance, then note the resulting ellipsoidal distance.
Note:
(1) The geoid-ellipsoid separation must be in terms of the selected ellipsoid.
(2) The observed chord distance (d</a:t>
          </a:r>
          <a:r>
            <a:rPr lang="en-US" cap="none" sz="1000" b="0" i="0" u="none" baseline="-25000">
              <a:latin typeface="Helv"/>
              <a:ea typeface="Helv"/>
              <a:cs typeface="Helv"/>
            </a:rPr>
            <a:t>2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) is the observed distance (d</a:t>
          </a:r>
          <a:r>
            <a:rPr lang="en-US" cap="none" sz="1000" b="0" i="0" u="none" baseline="-25000">
              <a:latin typeface="Helv"/>
              <a:ea typeface="Helv"/>
              <a:cs typeface="Helv"/>
            </a:rPr>
            <a:t>1</a:t>
          </a:r>
          <a:r>
            <a:rPr lang="en-US" cap="none" sz="1000" b="0" i="0" u="none" baseline="0">
              <a:latin typeface="Helv"/>
              <a:ea typeface="Helv"/>
              <a:cs typeface="Helv"/>
            </a:rPr>
            <a:t>) corrected for atmospheric effects.
(3) Use the spreadsheet outlining tools to see the intermediate steps.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7.00390625" style="0" customWidth="1"/>
    <col min="2" max="6" width="14.28125" style="0" customWidth="1"/>
    <col min="7" max="7" width="19.28125" style="0" customWidth="1"/>
    <col min="8" max="8" width="14.28125" style="0" customWidth="1"/>
    <col min="9" max="9" width="3.7109375" style="0" customWidth="1"/>
  </cols>
  <sheetData>
    <row r="3" ht="12.75">
      <c r="D3" s="18"/>
    </row>
    <row r="5" ht="12.75">
      <c r="B5" s="19">
        <v>1</v>
      </c>
    </row>
    <row r="6" ht="12.75">
      <c r="B6" s="20" t="str">
        <f>HLOOKUP(B5,B13:H17,2)</f>
        <v>GRS80</v>
      </c>
    </row>
    <row r="7" ht="12.75">
      <c r="B7" s="21">
        <f>HLOOKUP(B5,B13:H17,3)</f>
        <v>298.257222101</v>
      </c>
    </row>
    <row r="8" ht="12.75">
      <c r="B8" s="22">
        <f>HLOOKUP(B5,B13:H17,4)</f>
        <v>0.003352810681182319</v>
      </c>
    </row>
    <row r="9" ht="12.75">
      <c r="B9" s="23">
        <f>HLOOKUP(B5,B13:H17,5)</f>
        <v>6378137</v>
      </c>
    </row>
    <row r="10" spans="3:9" ht="12.75">
      <c r="C10" s="24"/>
      <c r="D10" s="24"/>
      <c r="E10" s="24"/>
      <c r="F10" s="24"/>
      <c r="G10" s="24"/>
      <c r="H10" s="25"/>
      <c r="I10" s="25"/>
    </row>
    <row r="13" spans="2:9" ht="12.75">
      <c r="B13" s="26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7"/>
    </row>
    <row r="14" spans="1:8" ht="12.75">
      <c r="A14" s="32"/>
      <c r="B14" s="28" t="s">
        <v>0</v>
      </c>
      <c r="C14" s="28" t="s">
        <v>1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</row>
    <row r="15" spans="1:8" ht="15">
      <c r="A15" s="33" t="s">
        <v>7</v>
      </c>
      <c r="B15" s="29">
        <v>298.257222101</v>
      </c>
      <c r="C15" s="29">
        <v>298.257223563</v>
      </c>
      <c r="D15" s="29">
        <v>298.25</v>
      </c>
      <c r="E15" s="29">
        <v>298.26</v>
      </c>
      <c r="F15" s="29">
        <v>294.26</v>
      </c>
      <c r="G15" s="30">
        <v>999999999999.999</v>
      </c>
      <c r="H15" s="29">
        <v>298.25</v>
      </c>
    </row>
    <row r="16" spans="1:8" ht="15">
      <c r="A16" s="33" t="s">
        <v>8</v>
      </c>
      <c r="B16" s="31">
        <f>1/$B$15</f>
        <v>0.003352810681182319</v>
      </c>
      <c r="C16" s="31">
        <f>1/$C$15</f>
        <v>0.0033528106647474805</v>
      </c>
      <c r="D16" s="31">
        <f>1/$D$15</f>
        <v>0.003352891869237217</v>
      </c>
      <c r="E16" s="31">
        <f>1/$E$15</f>
        <v>0.003352779454167505</v>
      </c>
      <c r="F16" s="31">
        <f>1/$F$15</f>
        <v>0.003398355196085095</v>
      </c>
      <c r="G16" s="31">
        <f>1/$G$15</f>
        <v>1.000000000000001E-12</v>
      </c>
      <c r="H16" s="31">
        <f>1/$H$15</f>
        <v>0.003352891869237217</v>
      </c>
    </row>
    <row r="17" spans="1:8" ht="15">
      <c r="A17" s="33" t="s">
        <v>9</v>
      </c>
      <c r="B17" s="29">
        <v>6378137</v>
      </c>
      <c r="C17" s="29">
        <v>6378137</v>
      </c>
      <c r="D17" s="29">
        <v>6378160</v>
      </c>
      <c r="E17" s="29">
        <v>6378135</v>
      </c>
      <c r="F17" s="29">
        <v>6378293.645</v>
      </c>
      <c r="G17" s="29">
        <v>6371000</v>
      </c>
      <c r="H17" s="29">
        <v>6378160</v>
      </c>
    </row>
    <row r="19" ht="12.75">
      <c r="B19" s="41" t="s">
        <v>10</v>
      </c>
    </row>
    <row r="20" ht="12.75">
      <c r="B20" s="42" t="s">
        <v>11</v>
      </c>
    </row>
    <row r="21" ht="12.75">
      <c r="B21" s="43" t="s">
        <v>12</v>
      </c>
    </row>
  </sheetData>
  <printOptions/>
  <pageMargins left="0.43" right="0.44" top="1" bottom="1" header="0.5" footer="0.5"/>
  <pageSetup horizontalDpi="600" verticalDpi="600" orientation="portrait" paperSize="9" r:id="rId4"/>
  <headerFooter alignWithMargins="0">
    <oddHeader>&amp;C&amp;F&amp;REllipsoids</oddHeader>
    <oddFooter>&amp;L&amp;D&amp;CGDA Technical Manual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showGridLines="0" tabSelected="1" showOutlineSymbols="0" workbookViewId="0" topLeftCell="A7">
      <selection activeCell="K24" sqref="K24"/>
    </sheetView>
  </sheetViews>
  <sheetFormatPr defaultColWidth="9.140625" defaultRowHeight="12.75" outlineLevelRow="1" outlineLevelCol="1"/>
  <cols>
    <col min="1" max="1" width="4.00390625" style="0" customWidth="1"/>
    <col min="2" max="2" width="20.8515625" style="0" customWidth="1"/>
    <col min="3" max="3" width="7.140625" style="0" customWidth="1"/>
    <col min="4" max="4" width="5.28125" style="0" customWidth="1"/>
    <col min="5" max="5" width="13.421875" style="0" customWidth="1"/>
    <col min="6" max="6" width="24.00390625" style="0" hidden="1" customWidth="1" outlineLevel="1"/>
    <col min="7" max="7" width="7.7109375" style="0" customWidth="1" collapsed="1"/>
    <col min="8" max="8" width="3.421875" style="0" customWidth="1"/>
    <col min="9" max="9" width="12.421875" style="0" customWidth="1"/>
  </cols>
  <sheetData>
    <row r="1" spans="2:9" ht="12.75">
      <c r="B1" s="5" t="s">
        <v>13</v>
      </c>
      <c r="I1" s="4"/>
    </row>
    <row r="2" spans="2:9" ht="12.75">
      <c r="B2" s="5"/>
      <c r="I2" s="4"/>
    </row>
    <row r="3" spans="2:9" ht="12.75">
      <c r="B3" s="47" t="s">
        <v>14</v>
      </c>
      <c r="C3" s="5"/>
      <c r="D3" s="15"/>
      <c r="E3" s="6" t="str">
        <f>Ellipsoids!B6</f>
        <v>GRS80</v>
      </c>
      <c r="I3" s="4"/>
    </row>
    <row r="4" spans="2:9" ht="12.75">
      <c r="B4" s="7"/>
      <c r="C4" s="7"/>
      <c r="D4" s="6" t="s">
        <v>15</v>
      </c>
      <c r="E4" s="7"/>
      <c r="F4" s="7"/>
      <c r="G4" s="7"/>
      <c r="H4" s="6" t="s">
        <v>16</v>
      </c>
      <c r="I4" s="7"/>
    </row>
    <row r="5" spans="2:9" ht="12.75">
      <c r="B5" s="7" t="s">
        <v>17</v>
      </c>
      <c r="C5" s="12" t="s">
        <v>18</v>
      </c>
      <c r="D5" s="12"/>
      <c r="E5" s="12"/>
      <c r="F5" s="9"/>
      <c r="G5" s="12" t="s">
        <v>19</v>
      </c>
      <c r="H5" s="12"/>
      <c r="I5" s="12"/>
    </row>
    <row r="6" spans="2:9" ht="12.75">
      <c r="B6" s="7" t="s">
        <v>20</v>
      </c>
      <c r="C6" s="7"/>
      <c r="D6" s="7"/>
      <c r="E6" s="38">
        <v>347.2</v>
      </c>
      <c r="F6" s="8">
        <f>E6-I6</f>
        <v>-397.786</v>
      </c>
      <c r="G6" s="12"/>
      <c r="H6" s="12"/>
      <c r="I6" s="38">
        <v>744.986</v>
      </c>
    </row>
    <row r="7" spans="2:9" ht="12.75">
      <c r="B7" s="7" t="s">
        <v>21</v>
      </c>
      <c r="C7" s="7"/>
      <c r="D7" s="7"/>
      <c r="E7" s="38">
        <v>3.401</v>
      </c>
      <c r="F7" s="8">
        <f>E7-I7</f>
        <v>-1.245</v>
      </c>
      <c r="G7" s="12"/>
      <c r="H7" s="12"/>
      <c r="I7" s="38">
        <v>4.646</v>
      </c>
    </row>
    <row r="8" spans="2:9" ht="12.75" hidden="1" outlineLevel="1">
      <c r="B8" s="7" t="s">
        <v>22</v>
      </c>
      <c r="C8" s="7"/>
      <c r="D8" s="7"/>
      <c r="E8" s="14">
        <f>E6+E7</f>
        <v>350.601</v>
      </c>
      <c r="F8" s="10">
        <f>E8-I8</f>
        <v>-399.03099999999995</v>
      </c>
      <c r="G8" s="7"/>
      <c r="H8" s="7"/>
      <c r="I8" s="38">
        <f>I6+I7</f>
        <v>749.632</v>
      </c>
    </row>
    <row r="9" spans="2:9" ht="12.75" collapsed="1">
      <c r="B9" s="7" t="s">
        <v>23</v>
      </c>
      <c r="C9" s="37">
        <v>-37</v>
      </c>
      <c r="D9" s="39">
        <v>57</v>
      </c>
      <c r="E9" s="40">
        <v>3.7203</v>
      </c>
      <c r="F9" s="8"/>
      <c r="G9" s="37">
        <v>-37</v>
      </c>
      <c r="H9" s="39">
        <v>39</v>
      </c>
      <c r="I9" s="40">
        <v>10.1561</v>
      </c>
    </row>
    <row r="10" spans="2:9" ht="12.75" hidden="1" outlineLevel="1">
      <c r="B10" s="7" t="s">
        <v>24</v>
      </c>
      <c r="C10" s="7"/>
      <c r="D10" s="7"/>
      <c r="E10" s="11">
        <f>IF(C9&lt;0,C9-D9/60-E9/3600,C9+D9/60+E9/3600)</f>
        <v>-37.95103341666667</v>
      </c>
      <c r="F10" s="3">
        <f>(E10/180*PI()+I10/180*PI())/2</f>
        <v>-0.6597680945966793</v>
      </c>
      <c r="G10" s="7"/>
      <c r="H10" s="7"/>
      <c r="I10" s="11">
        <f>IF(G9&lt;0,G9-H9/60-I9/3600,G9+H9/60+I9/3600)</f>
        <v>-37.65282113888889</v>
      </c>
    </row>
    <row r="11" spans="2:8" ht="12.75" collapsed="1">
      <c r="B11" s="7" t="s">
        <v>25</v>
      </c>
      <c r="C11" s="37">
        <v>306</v>
      </c>
      <c r="D11" s="39">
        <v>52</v>
      </c>
      <c r="E11" s="46">
        <v>5.37</v>
      </c>
      <c r="F11" s="8"/>
      <c r="G11" s="9"/>
      <c r="H11" s="9"/>
    </row>
    <row r="12" spans="2:8" ht="12.75" hidden="1" outlineLevel="1">
      <c r="B12" s="7" t="s">
        <v>26</v>
      </c>
      <c r="C12" s="7"/>
      <c r="D12" s="7"/>
      <c r="E12" s="11">
        <f>C11+D11/60+E11/3600</f>
        <v>306.8681583333333</v>
      </c>
      <c r="F12" s="3">
        <f>E12/180*PI()</f>
        <v>5.355859732447941</v>
      </c>
      <c r="G12" s="7"/>
      <c r="H12" s="7"/>
    </row>
    <row r="13" spans="2:8" ht="14.25" collapsed="1">
      <c r="B13" s="7" t="s">
        <v>27</v>
      </c>
      <c r="C13" s="7"/>
      <c r="D13" s="7"/>
      <c r="E13" s="48">
        <v>54978.289</v>
      </c>
      <c r="F13" s="7"/>
      <c r="G13" s="7"/>
      <c r="H13" s="7"/>
    </row>
    <row r="14" spans="2:9" ht="14.25" hidden="1" outlineLevel="1">
      <c r="B14" s="7" t="s">
        <v>28</v>
      </c>
      <c r="C14" s="7"/>
      <c r="D14" s="7"/>
      <c r="E14" s="35">
        <f>I29*SQRT(((E13-F8)*(E13+F8))/((I29+E8)*(I29+I8)))</f>
        <v>54972.09836098585</v>
      </c>
      <c r="F14" s="7"/>
      <c r="G14" s="7"/>
      <c r="H14" s="7"/>
      <c r="I14" s="7"/>
    </row>
    <row r="15" spans="2:9" ht="12.75" collapsed="1">
      <c r="B15" s="7" t="s">
        <v>29</v>
      </c>
      <c r="C15" s="7"/>
      <c r="D15" s="7"/>
      <c r="E15" s="17">
        <f>E14*(1+(E14*E14)/(24*I29*I29)+(3*E14*E14*E14*E14)/(640*I29*I29*I29*I29))</f>
        <v>54972.26859744931</v>
      </c>
      <c r="F15" s="7"/>
      <c r="G15" s="7"/>
      <c r="H15" s="7"/>
      <c r="I15" s="7"/>
    </row>
    <row r="16" spans="2:11" ht="12.75">
      <c r="B16" s="7"/>
      <c r="C16" s="7"/>
      <c r="D16" s="7"/>
      <c r="E16" s="7"/>
      <c r="F16" s="7"/>
      <c r="G16" s="7"/>
      <c r="H16" s="7"/>
      <c r="I16" s="7"/>
      <c r="K16" s="2"/>
    </row>
    <row r="22" spans="2:9" ht="12.75">
      <c r="B22" s="7"/>
      <c r="C22" s="7"/>
      <c r="D22" s="7"/>
      <c r="E22" s="16"/>
      <c r="F22" s="11"/>
      <c r="G22" s="7"/>
      <c r="H22" s="7"/>
      <c r="I22" s="7"/>
    </row>
    <row r="25" spans="6:9" ht="12.75">
      <c r="F25" s="7"/>
      <c r="G25" s="7"/>
      <c r="H25" s="7"/>
      <c r="I25" s="1"/>
    </row>
    <row r="26" spans="2:9" ht="12.75" hidden="1" outlineLevel="1">
      <c r="B26" s="7" t="s">
        <v>30</v>
      </c>
      <c r="C26" s="7"/>
      <c r="D26" s="7"/>
      <c r="E26" s="14">
        <f>Ellipsoids!B9</f>
        <v>6378137</v>
      </c>
      <c r="F26" s="34" t="s">
        <v>31</v>
      </c>
      <c r="G26" s="34"/>
      <c r="H26" s="34"/>
      <c r="I26" s="34"/>
    </row>
    <row r="27" spans="2:9" ht="12.75" hidden="1" outlineLevel="1">
      <c r="B27" s="7" t="s">
        <v>32</v>
      </c>
      <c r="C27" s="7"/>
      <c r="D27" s="7"/>
      <c r="E27" s="7">
        <f>Ellipsoids!B7</f>
        <v>298.257222101</v>
      </c>
      <c r="F27" s="36" t="s">
        <v>33</v>
      </c>
      <c r="G27" s="7"/>
      <c r="H27" s="7"/>
      <c r="I27" s="14">
        <f>E26*(1-E28)/(E29*E29*E29)</f>
        <v>6359415.0900249835</v>
      </c>
    </row>
    <row r="28" spans="2:9" ht="15.75" hidden="1" outlineLevel="1">
      <c r="B28" s="7" t="s">
        <v>34</v>
      </c>
      <c r="C28" s="7"/>
      <c r="D28" s="7"/>
      <c r="E28" s="16">
        <f>2*(1/E27)-((1/E27)*(1/E27))</f>
        <v>0.006694380022900787</v>
      </c>
      <c r="F28" s="36" t="s">
        <v>35</v>
      </c>
      <c r="G28" s="7"/>
      <c r="H28" s="7"/>
      <c r="I28" s="14">
        <f>E26/E29</f>
        <v>6386172.654335698</v>
      </c>
    </row>
    <row r="29" spans="2:9" ht="15.75" hidden="1" outlineLevel="1">
      <c r="B29" s="7" t="s">
        <v>36</v>
      </c>
      <c r="C29" s="7"/>
      <c r="D29" s="7"/>
      <c r="E29" s="16">
        <f>SQRT(1-(E28*SIN(F10)*SIN(F10)))</f>
        <v>0.9987417104468288</v>
      </c>
      <c r="F29" s="36" t="s">
        <v>37</v>
      </c>
      <c r="G29" s="7"/>
      <c r="H29" s="7"/>
      <c r="I29" s="14">
        <f>I27*I28/((I27*SIN(F12)*SIN(F12))+(I28*COS(F12)*COS(F12)))</f>
        <v>6376514.811791461</v>
      </c>
    </row>
    <row r="30" ht="12.75" collapsed="1">
      <c r="B30" s="41" t="s">
        <v>10</v>
      </c>
    </row>
    <row r="31" ht="12.75">
      <c r="B31" s="44" t="s">
        <v>11</v>
      </c>
    </row>
    <row r="32" ht="12.75">
      <c r="B32" s="45" t="s">
        <v>12</v>
      </c>
    </row>
  </sheetData>
  <printOptions/>
  <pageMargins left="0.75" right="0.75" top="1" bottom="1" header="0.5" footer="0.5"/>
  <pageSetup orientation="portrait" paperSize="9" r:id="rId4"/>
  <headerFooter alignWithMargins="0">
    <oddHeader>&amp;C&amp;F&amp;RDistance Reduction</oddHeader>
    <oddFooter>&amp;L&amp;D&amp;CGDA Technical Manual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showGridLines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6.8515625" style="0" customWidth="1"/>
    <col min="4" max="4" width="7.140625" style="0" customWidth="1"/>
    <col min="5" max="5" width="10.28125" style="0" customWidth="1"/>
    <col min="6" max="6" width="6.140625" style="0" customWidth="1"/>
    <col min="7" max="7" width="6.00390625" style="0" customWidth="1"/>
  </cols>
  <sheetData>
    <row r="1" ht="12.75">
      <c r="B1" s="5" t="s">
        <v>13</v>
      </c>
    </row>
    <row r="2" ht="12.75">
      <c r="B2" s="5"/>
    </row>
    <row r="3" spans="4:5" ht="12.75">
      <c r="D3" s="60" t="s">
        <v>14</v>
      </c>
      <c r="E3" s="5" t="s">
        <v>0</v>
      </c>
    </row>
    <row r="4" spans="4:7" ht="12.75">
      <c r="D4" t="s">
        <v>15</v>
      </c>
      <c r="G4" t="s">
        <v>16</v>
      </c>
    </row>
    <row r="5" spans="2:8" ht="12.75">
      <c r="B5" s="49" t="s">
        <v>17</v>
      </c>
      <c r="C5" s="50" t="s">
        <v>18</v>
      </c>
      <c r="D5" s="50"/>
      <c r="E5" s="50"/>
      <c r="F5" s="50" t="s">
        <v>38</v>
      </c>
      <c r="G5" s="50"/>
      <c r="H5" s="51"/>
    </row>
    <row r="6" spans="2:8" ht="12.75">
      <c r="B6" s="52" t="s">
        <v>20</v>
      </c>
      <c r="C6" s="2"/>
      <c r="D6" s="2"/>
      <c r="E6" s="13">
        <v>347.2</v>
      </c>
      <c r="F6" s="12"/>
      <c r="G6" s="12"/>
      <c r="H6" s="53">
        <v>744.986</v>
      </c>
    </row>
    <row r="7" spans="2:8" ht="12.75">
      <c r="B7" s="52" t="s">
        <v>21</v>
      </c>
      <c r="C7" s="2"/>
      <c r="D7" s="2"/>
      <c r="E7" s="13">
        <v>3.401</v>
      </c>
      <c r="F7" s="12"/>
      <c r="G7" s="12"/>
      <c r="H7" s="53">
        <v>4.646</v>
      </c>
    </row>
    <row r="8" spans="2:8" ht="12.75">
      <c r="B8" s="52" t="s">
        <v>22</v>
      </c>
      <c r="C8" s="2"/>
      <c r="D8" s="2"/>
      <c r="E8" s="13">
        <v>350.601</v>
      </c>
      <c r="F8" s="12"/>
      <c r="G8" s="12"/>
      <c r="H8" s="53">
        <v>749.632</v>
      </c>
    </row>
    <row r="9" spans="2:8" ht="12.75">
      <c r="B9" s="52" t="s">
        <v>23</v>
      </c>
      <c r="C9" s="37">
        <v>-37</v>
      </c>
      <c r="D9" s="39">
        <v>57</v>
      </c>
      <c r="E9" s="40">
        <v>3.7203</v>
      </c>
      <c r="F9" s="37">
        <v>-37</v>
      </c>
      <c r="G9" s="39">
        <v>39</v>
      </c>
      <c r="H9" s="54">
        <v>10.1561</v>
      </c>
    </row>
    <row r="10" spans="2:8" ht="12.75">
      <c r="B10" s="52" t="s">
        <v>25</v>
      </c>
      <c r="C10" s="37">
        <v>306</v>
      </c>
      <c r="D10" s="39">
        <v>52</v>
      </c>
      <c r="E10" s="40">
        <v>5.37</v>
      </c>
      <c r="F10" s="2"/>
      <c r="G10" s="2"/>
      <c r="H10" s="55"/>
    </row>
    <row r="11" spans="2:8" ht="14.25">
      <c r="B11" s="52" t="s">
        <v>39</v>
      </c>
      <c r="C11" s="2"/>
      <c r="D11" s="2"/>
      <c r="E11" s="13">
        <v>54978.289</v>
      </c>
      <c r="F11" s="2"/>
      <c r="G11" s="2"/>
      <c r="H11" s="55"/>
    </row>
    <row r="12" spans="2:8" ht="12.75">
      <c r="B12" s="56" t="s">
        <v>29</v>
      </c>
      <c r="C12" s="57"/>
      <c r="D12" s="57"/>
      <c r="E12" s="58">
        <v>54972.26859744931</v>
      </c>
      <c r="F12" s="57"/>
      <c r="G12" s="57"/>
      <c r="H12" s="59"/>
    </row>
  </sheetData>
  <sheetProtection sheet="1" objects="1" scenarios="1"/>
  <printOptions/>
  <pageMargins left="0.75" right="0.75" top="1" bottom="1" header="0.5" footer="0.5"/>
  <pageSetup orientation="portrait" paperSize="9" r:id="rId3"/>
  <headerFooter alignWithMargins="0">
    <oddHeader>&amp;C&amp;F&amp;RTest data</oddHeader>
    <oddFooter>&amp;L&amp;D&amp;CGDA Technical Manual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AUSLIG</cp:lastModifiedBy>
  <cp:lastPrinted>2002-08-12T00:46:15Z</cp:lastPrinted>
  <dcterms:created xsi:type="dcterms:W3CDTF">1998-03-31T06:46:35Z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